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herme\Desktop\Guilherme\Solofix\Estudo Custos Solofix\2025\"/>
    </mc:Choice>
  </mc:AlternateContent>
  <bookViews>
    <workbookView xWindow="0" yWindow="0" windowWidth="23040" windowHeight="9264"/>
  </bookViews>
  <sheets>
    <sheet name="B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2" l="1"/>
  <c r="N42" i="2"/>
  <c r="N41" i="2"/>
  <c r="C54" i="2" l="1"/>
  <c r="C56" i="2" s="1"/>
  <c r="N27" i="2"/>
  <c r="N21" i="2"/>
  <c r="R8" i="2" l="1"/>
  <c r="N9" i="2" l="1"/>
  <c r="D85" i="2"/>
  <c r="D82" i="2"/>
  <c r="D73" i="2"/>
  <c r="D69" i="2"/>
  <c r="D67" i="2"/>
  <c r="D66" i="2"/>
  <c r="D65" i="2"/>
  <c r="D61" i="2"/>
  <c r="D54" i="2"/>
  <c r="D53" i="2"/>
  <c r="Q22" i="2"/>
  <c r="S22" i="2" s="1"/>
  <c r="Q21" i="2"/>
  <c r="S21" i="2"/>
  <c r="Q20" i="2"/>
  <c r="S20" i="2" s="1"/>
  <c r="S18" i="2"/>
  <c r="S16" i="2"/>
  <c r="S14" i="2"/>
  <c r="S13" i="2"/>
  <c r="S12" i="2"/>
  <c r="C55" i="2" l="1"/>
  <c r="D55" i="2" s="1"/>
  <c r="D56" i="2"/>
  <c r="D68" i="2"/>
  <c r="D70" i="2" s="1"/>
  <c r="S23" i="2"/>
  <c r="S26" i="2" l="1"/>
  <c r="S25" i="2"/>
  <c r="D58" i="2"/>
  <c r="N17" i="2"/>
  <c r="D49" i="2" l="1"/>
  <c r="D34" i="2"/>
  <c r="D31" i="2"/>
  <c r="D28" i="2"/>
  <c r="D25" i="2"/>
  <c r="C42" i="2" l="1"/>
  <c r="D42" i="2" s="1"/>
  <c r="D41" i="2"/>
  <c r="C43" i="2" l="1"/>
  <c r="D43" i="2" s="1"/>
  <c r="C44" i="2"/>
  <c r="D44" i="2" s="1"/>
  <c r="D46" i="2" l="1"/>
  <c r="P49" i="2" l="1"/>
  <c r="P31" i="2" l="1"/>
  <c r="P30" i="2"/>
  <c r="N25" i="2"/>
  <c r="N35" i="2" s="1"/>
  <c r="P32" i="2" l="1"/>
  <c r="B16" i="2"/>
  <c r="N38" i="2" l="1"/>
  <c r="N40" i="2" l="1"/>
  <c r="Q38" i="2" l="1"/>
  <c r="O48" i="2" l="1"/>
  <c r="P48" i="2" s="1"/>
</calcChain>
</file>

<file path=xl/sharedStrings.xml><?xml version="1.0" encoding="utf-8"?>
<sst xmlns="http://schemas.openxmlformats.org/spreadsheetml/2006/main" count="129" uniqueCount="83">
  <si>
    <t>Considerações:</t>
  </si>
  <si>
    <t>Quantidade de dias uteis (seg-sexta)/mês</t>
  </si>
  <si>
    <t>Operador</t>
  </si>
  <si>
    <t>Total</t>
  </si>
  <si>
    <t>Estrutura Estimada de Custos</t>
  </si>
  <si>
    <t>Previsão para retorno do Investimento do Equipto (anos)</t>
  </si>
  <si>
    <t>Objetivos</t>
  </si>
  <si>
    <t>Sugestão</t>
  </si>
  <si>
    <t>Taxa de Centro Expandido (P/pagto do custo de transporte ida/volta)</t>
  </si>
  <si>
    <t>unidade</t>
  </si>
  <si>
    <t>valor unit</t>
  </si>
  <si>
    <t>Todos os custos dos colaboradores já estão provisionados com encargos sociais</t>
  </si>
  <si>
    <t>Total de Dias trabalhados  médio de produção por mês</t>
  </si>
  <si>
    <t>Quantidade de dias para Montagem/Desmontagem do Equipto/mês para provisionar na custo da Taxa de Instalação</t>
  </si>
  <si>
    <t>Investimento para aquisição do Conjunto de Equipamentos (Nacional)</t>
  </si>
  <si>
    <t>Dias Médios Trabalhados/mês</t>
  </si>
  <si>
    <t>Custos Previos</t>
  </si>
  <si>
    <t>Sub-Total</t>
  </si>
  <si>
    <t>Impostos (Pis/Cofins/IRPJ/CSLL/ISS) - 19,53% - Lucro Presumido</t>
  </si>
  <si>
    <t>Indireto por Equipe da Empresa</t>
  </si>
  <si>
    <t>Média de meses em operação do Equipto / ano</t>
  </si>
  <si>
    <t>Média de Manut Preventivas e Corretivas/mês + Feriados e/ou chuva</t>
  </si>
  <si>
    <t xml:space="preserve">Parcela Mensal Equipamento para (8 anos e 10 meses trabalhos/ano) </t>
  </si>
  <si>
    <t>Interação das empresas de fundação para aferição dos custos operacionais da solução de tirantes, compatíveis com as responsabilidades assumidas pelos serviços tecnicos prestados com gestão de materiais.</t>
  </si>
  <si>
    <t>Proporcionar condições operacionais superavitarias para que as empresas possam investir  e oferecem boas condições de atendimento.</t>
  </si>
  <si>
    <t>Custo Médio Mão de Obra Direta com Encargos Sociais</t>
  </si>
  <si>
    <t>Custo Médio Mão de Obra Gestão Direta</t>
  </si>
  <si>
    <t>Soldador</t>
  </si>
  <si>
    <t>2 Ajudantes</t>
  </si>
  <si>
    <t>Verba Mensal de Serviços e Materiais para Manunteção por conjunto de Bate Estaca</t>
  </si>
  <si>
    <t>cravação</t>
  </si>
  <si>
    <t>corte tala</t>
  </si>
  <si>
    <t>corte composicao</t>
  </si>
  <si>
    <t>emenda</t>
  </si>
  <si>
    <t>quantidade</t>
  </si>
  <si>
    <t>unitario</t>
  </si>
  <si>
    <t>total</t>
  </si>
  <si>
    <t>Taxa de Mob</t>
  </si>
  <si>
    <t>CE</t>
  </si>
  <si>
    <t>Estudo de Custo de Cravação de Perfis de Contenção para obras Imobiliarias</t>
  </si>
  <si>
    <t>3) Obras com Desnivel acentuado sem solda</t>
  </si>
  <si>
    <t>4) Obras com Desnivel acentuado com solda</t>
  </si>
  <si>
    <t>Cravação/dia (ml)</t>
  </si>
  <si>
    <t>Montagem + Desmontagem (1 dias de Fat. Diario)</t>
  </si>
  <si>
    <t xml:space="preserve">Demonstrativo de Faturamento  Apenas de SERVIÇOS/ conjunto de Cravação </t>
  </si>
  <si>
    <t>Custo Mobilização deve compreender 2 diarias para montagem e desmontagem do Equipamento + fretes dos caminhões</t>
  </si>
  <si>
    <t>1 colaborador adicional na média por equipe para rodar férias</t>
  </si>
  <si>
    <t xml:space="preserve">Provisionamento dos 1 mes parado, diluidos por 12 meses </t>
  </si>
  <si>
    <t>Margem máxima de Negociação ( 10% )</t>
  </si>
  <si>
    <t>Diaria a disposição</t>
  </si>
  <si>
    <t>Qnt</t>
  </si>
  <si>
    <t>Valor</t>
  </si>
  <si>
    <t>Função</t>
  </si>
  <si>
    <t>Auxiliares</t>
  </si>
  <si>
    <t>Contas a Receber e Pagar</t>
  </si>
  <si>
    <t>Fretes ( a cada 18 ton)</t>
  </si>
  <si>
    <t>Despesas Administrativas (água, luz, telefone, Internet, Limpeza,TI, RH, Contabilidade)</t>
  </si>
  <si>
    <t>Custo Financeiro minimo de 1 mês a 1%am</t>
  </si>
  <si>
    <t>Risco de Crédito (Inadimplencia e atrasos) - 1%</t>
  </si>
  <si>
    <t>3</t>
  </si>
  <si>
    <t>Locação Sede para perfis (R$ 10/m2 x 250/m2)</t>
  </si>
  <si>
    <t>Custo parcial de elaboração de Propostas e Vendas</t>
  </si>
  <si>
    <t xml:space="preserve">Custo parcial para portaria 24 horas </t>
  </si>
  <si>
    <t>Custo por kg com frete</t>
  </si>
  <si>
    <t>Custo por kg sem frete</t>
  </si>
  <si>
    <t>Expectativa de Consumo mensal para 4 conjuntos</t>
  </si>
  <si>
    <t>2) Obras Planas ou desnivel moderado com Perfis com Solda</t>
  </si>
  <si>
    <t>1) Obras Planas ou desnivel moderado com Perfis sem Solda</t>
  </si>
  <si>
    <t>70 estacas com 16 metros</t>
  </si>
  <si>
    <t>Simulação Orçamento Bate Estaca Convencional obra padrão 3</t>
  </si>
  <si>
    <t>Simulação Orçamento Bate Estaca Convencional obra padrão 4</t>
  </si>
  <si>
    <t>Produtividade Média Esperada para obras Imobiliarias. 17 dias trabalhados + 2 dias para Mob/Desmob a serem considerado na Taxa de Mobilização</t>
  </si>
  <si>
    <t>Assistencia Contabil e Legal + Agua + Energia + Telefonia/Internet + Custos Manutenção da Sede + Custos com Frota de Carros + Provisão de Causas Trabalhistas + Materiais de Consumo diversos + Uniformes+ Copa+ Seguros+ Propaganda + Ferramentas + Taxas Diversas</t>
  </si>
  <si>
    <t>(Comercial, RH, Financeiro, Manutenção e Calderaria, SESMT, Transporte e Logistica, Gestão de Obras etc...)</t>
  </si>
  <si>
    <t>Custos Gestão dos Perfis Metalicos: Consumo Médio 189 Ton/Mês</t>
  </si>
  <si>
    <t>Supervisor Estoque, Carregamento e Descarregamento e Segurança</t>
  </si>
  <si>
    <t>3 colaboradores no deposito para cada conjunto em operação com custo medio de R$11.000</t>
  </si>
  <si>
    <t>Combustivel ( 40 L/dia x R$ 9,00 x 17 dias)</t>
  </si>
  <si>
    <t>Simulação Orçamento Bate Estaca Convencional obra Padrão 1 (150 estacas com 9 metros)</t>
  </si>
  <si>
    <t>Simulação Orçamento Bate Estaca Convencional obra padrão 2 (56 estacas com 16 metros)</t>
  </si>
  <si>
    <t>(45KG/ml x 60ml/dia x 15 dias x 4 conj)</t>
  </si>
  <si>
    <t xml:space="preserve">Riscos e Lucro ( 20% ) 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</si>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</sst>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6">
    <xf numFmtId="0" fontId="0" fillId="0" borderId="0" xfId="0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Border="1"/>
    <xf numFmtId="8" fontId="0" fillId="0" borderId="0" xfId="0" applyNumberFormat="1" applyBorder="1"/>
    <xf numFmtId="8" fontId="0" fillId="0" borderId="4" xfId="0" applyNumberFormat="1" applyBorder="1"/>
    <xf numFmtId="0" fontId="0" fillId="0" borderId="1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1" fillId="0" borderId="12" xfId="0" applyFont="1" applyBorder="1" applyAlignment="1">
      <alignment horizontal="center"/>
    </xf>
    <xf numFmtId="164" fontId="0" fillId="0" borderId="10" xfId="0" applyNumberFormat="1" applyBorder="1"/>
    <xf numFmtId="8" fontId="1" fillId="0" borderId="13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2" fillId="3" borderId="0" xfId="0" applyFont="1" applyFill="1" applyBorder="1" applyAlignment="1">
      <alignment horizontal="center"/>
    </xf>
    <xf numFmtId="8" fontId="0" fillId="0" borderId="0" xfId="0" applyNumberFormat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8" xfId="0" applyNumberForma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7" xfId="0" applyFill="1" applyBorder="1"/>
    <xf numFmtId="164" fontId="0" fillId="0" borderId="15" xfId="0" applyNumberFormat="1" applyBorder="1"/>
    <xf numFmtId="0" fontId="0" fillId="0" borderId="3" xfId="0" applyFill="1" applyBorder="1"/>
    <xf numFmtId="164" fontId="0" fillId="0" borderId="4" xfId="0" applyNumberFormat="1" applyFill="1" applyBorder="1"/>
    <xf numFmtId="0" fontId="0" fillId="0" borderId="7" xfId="0" applyFill="1" applyBorder="1"/>
    <xf numFmtId="164" fontId="0" fillId="0" borderId="8" xfId="0" applyNumberFormat="1" applyFill="1" applyBorder="1"/>
    <xf numFmtId="164" fontId="0" fillId="0" borderId="0" xfId="0" applyNumberFormat="1"/>
    <xf numFmtId="0" fontId="0" fillId="3" borderId="11" xfId="0" applyFill="1" applyBorder="1"/>
    <xf numFmtId="8" fontId="0" fillId="3" borderId="8" xfId="0" applyNumberFormat="1" applyFill="1" applyBorder="1"/>
    <xf numFmtId="8" fontId="0" fillId="0" borderId="8" xfId="0" applyNumberFormat="1" applyBorder="1"/>
    <xf numFmtId="0" fontId="0" fillId="7" borderId="7" xfId="0" applyFill="1" applyBorder="1"/>
    <xf numFmtId="164" fontId="0" fillId="7" borderId="8" xfId="0" applyNumberFormat="1" applyFill="1" applyBorder="1"/>
    <xf numFmtId="0" fontId="0" fillId="0" borderId="3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/>
    <xf numFmtId="0" fontId="2" fillId="3" borderId="3" xfId="0" applyFont="1" applyFill="1" applyBorder="1" applyAlignment="1">
      <alignment horizontal="center"/>
    </xf>
    <xf numFmtId="164" fontId="0" fillId="0" borderId="9" xfId="0" applyNumberForma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4" fontId="0" fillId="0" borderId="0" xfId="0" applyNumberFormat="1"/>
    <xf numFmtId="0" fontId="3" fillId="8" borderId="7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0" xfId="0" applyFont="1" applyFill="1" applyBorder="1" applyAlignment="1"/>
    <xf numFmtId="4" fontId="0" fillId="0" borderId="0" xfId="0" applyNumberFormat="1" applyBorder="1"/>
    <xf numFmtId="4" fontId="0" fillId="0" borderId="10" xfId="0" applyNumberFormat="1" applyBorder="1"/>
    <xf numFmtId="8" fontId="0" fillId="0" borderId="6" xfId="0" applyNumberFormat="1" applyBorder="1"/>
    <xf numFmtId="0" fontId="0" fillId="0" borderId="4" xfId="0" applyBorder="1" applyAlignment="1">
      <alignment horizontal="right"/>
    </xf>
    <xf numFmtId="0" fontId="0" fillId="0" borderId="0" xfId="0" applyFill="1" applyBorder="1" applyAlignment="1">
      <alignment horizontal="center"/>
    </xf>
    <xf numFmtId="8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44" fontId="3" fillId="0" borderId="22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 vertical="center"/>
    </xf>
    <xf numFmtId="49" fontId="0" fillId="0" borderId="23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49" fontId="0" fillId="0" borderId="16" xfId="0" applyNumberFormat="1" applyBorder="1"/>
    <xf numFmtId="49" fontId="0" fillId="0" borderId="24" xfId="0" applyNumberFormat="1" applyBorder="1"/>
    <xf numFmtId="0" fontId="0" fillId="0" borderId="20" xfId="0" applyBorder="1"/>
    <xf numFmtId="0" fontId="0" fillId="0" borderId="24" xfId="0" applyBorder="1"/>
    <xf numFmtId="49" fontId="0" fillId="4" borderId="10" xfId="0" applyNumberFormat="1" applyFill="1" applyBorder="1"/>
    <xf numFmtId="164" fontId="1" fillId="4" borderId="15" xfId="0" applyNumberFormat="1" applyFont="1" applyFill="1" applyBorder="1"/>
    <xf numFmtId="49" fontId="0" fillId="0" borderId="7" xfId="0" applyNumberFormat="1" applyFill="1" applyBorder="1"/>
    <xf numFmtId="164" fontId="1" fillId="0" borderId="8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11" xfId="0" applyNumberFormat="1" applyBorder="1"/>
    <xf numFmtId="8" fontId="0" fillId="0" borderId="2" xfId="0" applyNumberFormat="1" applyBorder="1"/>
    <xf numFmtId="8" fontId="0" fillId="0" borderId="11" xfId="0" applyNumberFormat="1" applyBorder="1"/>
    <xf numFmtId="8" fontId="6" fillId="0" borderId="0" xfId="0" applyNumberFormat="1" applyFont="1" applyBorder="1"/>
    <xf numFmtId="164" fontId="8" fillId="0" borderId="8" xfId="0" applyNumberFormat="1" applyFont="1" applyBorder="1" applyAlignment="1">
      <alignment vertical="center"/>
    </xf>
    <xf numFmtId="0" fontId="7" fillId="9" borderId="1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15" xfId="0" applyBorder="1"/>
    <xf numFmtId="0" fontId="0" fillId="3" borderId="15" xfId="0" applyFill="1" applyBorder="1"/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A37" zoomScaleNormal="100" workbookViewId="0">
      <selection activeCell="C56" sqref="C56"/>
    </sheetView>
  </sheetViews>
  <sheetFormatPr defaultRowHeight="14.4" x14ac:dyDescent="0.3"/>
  <cols>
    <col min="1" max="1" width="78.77734375" customWidth="1"/>
    <col min="2" max="2" width="21.33203125" customWidth="1"/>
    <col min="3" max="3" width="28" customWidth="1"/>
    <col min="4" max="4" width="17.109375" customWidth="1"/>
    <col min="5" max="5" width="17.33203125" customWidth="1"/>
    <col min="6" max="6" width="12.109375" bestFit="1" customWidth="1"/>
    <col min="7" max="7" width="12.109375" hidden="1" customWidth="1"/>
    <col min="8" max="9" width="17.21875" hidden="1" customWidth="1"/>
    <col min="10" max="10" width="29.88671875" hidden="1" customWidth="1"/>
    <col min="11" max="11" width="11.109375" customWidth="1"/>
    <col min="12" max="12" width="10.5546875" bestFit="1" customWidth="1"/>
    <col min="13" max="13" width="93.21875" customWidth="1"/>
    <col min="14" max="14" width="14.21875" bestFit="1" customWidth="1"/>
    <col min="15" max="15" width="13" bestFit="1" customWidth="1"/>
    <col min="16" max="16" width="53.6640625" bestFit="1" customWidth="1"/>
    <col min="17" max="17" width="32.77734375" bestFit="1" customWidth="1"/>
    <col min="18" max="18" width="77.6640625" bestFit="1" customWidth="1"/>
    <col min="19" max="19" width="22.109375" customWidth="1"/>
  </cols>
  <sheetData>
    <row r="1" spans="1:19" ht="29.4" thickBot="1" x14ac:dyDescent="0.6">
      <c r="A1" s="99" t="s">
        <v>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</row>
    <row r="2" spans="1:19" ht="29.4" thickBot="1" x14ac:dyDescent="0.6">
      <c r="A2" s="4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ht="18.600000000000001" thickBot="1" x14ac:dyDescent="0.4">
      <c r="A3" s="102" t="s">
        <v>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  <c r="O3" s="10"/>
      <c r="P3" s="10"/>
    </row>
    <row r="4" spans="1:19" x14ac:dyDescent="0.3">
      <c r="A4" s="105" t="s">
        <v>23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0"/>
      <c r="P4" s="10"/>
    </row>
    <row r="5" spans="1:19" ht="15" thickBot="1" x14ac:dyDescent="0.35">
      <c r="A5" s="108" t="s">
        <v>24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  <c r="O5" s="16"/>
      <c r="P5" s="16"/>
    </row>
    <row r="6" spans="1:19" ht="15" thickBot="1" x14ac:dyDescent="0.35"/>
    <row r="7" spans="1:19" ht="18.600000000000001" thickBot="1" x14ac:dyDescent="0.4">
      <c r="A7" s="111" t="s">
        <v>0</v>
      </c>
      <c r="B7" s="112"/>
      <c r="M7" s="96" t="s">
        <v>4</v>
      </c>
      <c r="N7" s="98"/>
    </row>
    <row r="8" spans="1:19" ht="15" thickBot="1" x14ac:dyDescent="0.35">
      <c r="A8" s="1"/>
      <c r="B8" s="10"/>
      <c r="P8" s="87" t="s">
        <v>65</v>
      </c>
      <c r="Q8" t="s">
        <v>80</v>
      </c>
      <c r="R8" s="86">
        <f>4*70*45*15</f>
        <v>189000</v>
      </c>
    </row>
    <row r="9" spans="1:19" ht="15" thickBot="1" x14ac:dyDescent="0.35">
      <c r="A9" s="113" t="s">
        <v>11</v>
      </c>
      <c r="B9" s="114"/>
      <c r="M9" s="33" t="s">
        <v>22</v>
      </c>
      <c r="N9" s="34">
        <f>(B19/B11)/B12</f>
        <v>0</v>
      </c>
    </row>
    <row r="10" spans="1:19" ht="16.2" thickBot="1" x14ac:dyDescent="0.35">
      <c r="A10" s="1"/>
      <c r="B10" s="10"/>
      <c r="P10" s="93" t="s">
        <v>74</v>
      </c>
      <c r="Q10" s="94"/>
      <c r="R10" s="94"/>
      <c r="S10" s="95"/>
    </row>
    <row r="11" spans="1:19" ht="18" x14ac:dyDescent="0.35">
      <c r="A11" s="5" t="s">
        <v>5</v>
      </c>
      <c r="B11" s="6">
        <v>8</v>
      </c>
      <c r="M11" s="115" t="s">
        <v>25</v>
      </c>
      <c r="N11" s="116"/>
      <c r="P11" s="67" t="s">
        <v>50</v>
      </c>
      <c r="Q11" s="68" t="s">
        <v>51</v>
      </c>
      <c r="R11" s="69" t="s">
        <v>52</v>
      </c>
      <c r="S11" s="70" t="s">
        <v>3</v>
      </c>
    </row>
    <row r="12" spans="1:19" ht="15" thickBot="1" x14ac:dyDescent="0.35">
      <c r="A12" s="3" t="s">
        <v>20</v>
      </c>
      <c r="B12" s="8">
        <v>10</v>
      </c>
      <c r="M12" s="1"/>
      <c r="N12" s="2"/>
      <c r="P12" s="71" t="s">
        <v>59</v>
      </c>
      <c r="Q12" s="72">
        <v>5000</v>
      </c>
      <c r="R12" s="73" t="s">
        <v>53</v>
      </c>
      <c r="S12" s="74">
        <f>P12*Q12</f>
        <v>15000</v>
      </c>
    </row>
    <row r="13" spans="1:19" ht="15" thickBot="1" x14ac:dyDescent="0.35">
      <c r="A13" s="1"/>
      <c r="B13" s="7"/>
      <c r="M13" s="1" t="s">
        <v>2</v>
      </c>
      <c r="N13" s="2">
        <v>8500</v>
      </c>
      <c r="P13" s="71">
        <v>1</v>
      </c>
      <c r="Q13" s="75">
        <v>9000</v>
      </c>
      <c r="R13" s="76" t="s">
        <v>75</v>
      </c>
      <c r="S13" s="74">
        <f>P13*Q13</f>
        <v>9000</v>
      </c>
    </row>
    <row r="14" spans="1:19" x14ac:dyDescent="0.3">
      <c r="A14" s="5" t="s">
        <v>1</v>
      </c>
      <c r="B14" s="6">
        <v>21</v>
      </c>
      <c r="M14" s="1" t="s">
        <v>27</v>
      </c>
      <c r="N14" s="2">
        <v>7000</v>
      </c>
      <c r="P14" s="71">
        <v>1</v>
      </c>
      <c r="Q14" s="75">
        <v>6612</v>
      </c>
      <c r="R14" s="76" t="s">
        <v>54</v>
      </c>
      <c r="S14" s="74">
        <f>P14*Q14</f>
        <v>6612</v>
      </c>
    </row>
    <row r="15" spans="1:19" x14ac:dyDescent="0.3">
      <c r="A15" s="1" t="s">
        <v>21</v>
      </c>
      <c r="B15" s="7">
        <v>4</v>
      </c>
      <c r="M15" s="35" t="s">
        <v>28</v>
      </c>
      <c r="N15" s="36">
        <v>10000</v>
      </c>
      <c r="P15" s="71"/>
      <c r="Q15" s="75"/>
      <c r="R15" s="76"/>
      <c r="S15" s="74"/>
    </row>
    <row r="16" spans="1:19" ht="15" thickBot="1" x14ac:dyDescent="0.35">
      <c r="A16" s="3" t="s">
        <v>12</v>
      </c>
      <c r="B16" s="8">
        <f>B14-B15</f>
        <v>17</v>
      </c>
      <c r="M16" s="3" t="s">
        <v>46</v>
      </c>
      <c r="N16" s="36">
        <v>6000</v>
      </c>
      <c r="P16" s="71" t="s">
        <v>82</v>
      </c>
      <c r="Q16" s="84">
        <v>4000</v>
      </c>
      <c r="R16" s="76" t="s">
        <v>55</v>
      </c>
      <c r="S16" s="85">
        <f>P16*Q16</f>
        <v>44000</v>
      </c>
    </row>
    <row r="17" spans="1:19" ht="27" customHeight="1" thickBot="1" x14ac:dyDescent="0.35">
      <c r="A17" s="25" t="s">
        <v>13</v>
      </c>
      <c r="B17" s="9">
        <v>2</v>
      </c>
      <c r="M17" s="37" t="s">
        <v>3</v>
      </c>
      <c r="N17" s="26">
        <f>SUM(N12:N16)</f>
        <v>31500</v>
      </c>
      <c r="P17" s="71">
        <v>1</v>
      </c>
      <c r="Q17" s="75">
        <v>10000</v>
      </c>
      <c r="R17" s="76" t="s">
        <v>56</v>
      </c>
      <c r="S17" s="74">
        <v>10000</v>
      </c>
    </row>
    <row r="18" spans="1:19" ht="15" thickBot="1" x14ac:dyDescent="0.35">
      <c r="P18" s="71">
        <v>1</v>
      </c>
      <c r="Q18" s="75">
        <v>6000</v>
      </c>
      <c r="R18" s="76" t="s">
        <v>61</v>
      </c>
      <c r="S18" s="74">
        <f>P18*Q18</f>
        <v>6000</v>
      </c>
    </row>
    <row r="19" spans="1:19" ht="15" thickBot="1" x14ac:dyDescent="0.35">
      <c r="A19" s="4" t="s">
        <v>14</v>
      </c>
      <c r="B19" s="26"/>
      <c r="M19" s="115" t="s">
        <v>26</v>
      </c>
      <c r="N19" s="116"/>
      <c r="P19" s="71">
        <v>1</v>
      </c>
      <c r="Q19" s="75">
        <v>5000</v>
      </c>
      <c r="R19" s="76" t="s">
        <v>62</v>
      </c>
      <c r="S19" s="74">
        <v>5000</v>
      </c>
    </row>
    <row r="20" spans="1:19" x14ac:dyDescent="0.3">
      <c r="A20" s="5"/>
      <c r="B20" s="50"/>
      <c r="M20" s="45"/>
      <c r="N20" s="27"/>
      <c r="P20" s="71">
        <v>1</v>
      </c>
      <c r="Q20" s="75">
        <f>250*10</f>
        <v>2500</v>
      </c>
      <c r="R20" s="76" t="s">
        <v>60</v>
      </c>
      <c r="S20" s="74">
        <f>P20*Q20</f>
        <v>2500</v>
      </c>
    </row>
    <row r="21" spans="1:19" ht="15" thickBot="1" x14ac:dyDescent="0.35">
      <c r="F21" s="65"/>
      <c r="G21" s="65"/>
      <c r="H21" s="65"/>
      <c r="M21" s="1" t="s">
        <v>76</v>
      </c>
      <c r="N21" s="2">
        <f>3*11000</f>
        <v>33000</v>
      </c>
      <c r="P21" s="71">
        <v>1</v>
      </c>
      <c r="Q21" s="75">
        <f>250000*7.5*(1/100)</f>
        <v>18750</v>
      </c>
      <c r="R21" s="76" t="s">
        <v>57</v>
      </c>
      <c r="S21" s="74">
        <f>P21*Q21</f>
        <v>18750</v>
      </c>
    </row>
    <row r="22" spans="1:19" ht="41.4" customHeight="1" thickBot="1" x14ac:dyDescent="0.4">
      <c r="A22" s="120" t="s">
        <v>71</v>
      </c>
      <c r="B22" s="121"/>
      <c r="C22" s="121"/>
      <c r="D22" s="122"/>
      <c r="F22" s="123"/>
      <c r="G22" s="123"/>
      <c r="H22" s="123"/>
      <c r="M22" s="1" t="s">
        <v>73</v>
      </c>
      <c r="N22" s="2"/>
      <c r="P22" s="71">
        <v>1</v>
      </c>
      <c r="Q22" s="75">
        <f>250000*7.5*(1/100)</f>
        <v>18750</v>
      </c>
      <c r="R22" s="77" t="s">
        <v>58</v>
      </c>
      <c r="S22" s="74">
        <f>Q22</f>
        <v>18750</v>
      </c>
    </row>
    <row r="23" spans="1:19" ht="15" thickBot="1" x14ac:dyDescent="0.35">
      <c r="A23" s="30"/>
      <c r="B23" s="29"/>
      <c r="C23" s="29"/>
      <c r="D23" s="27"/>
      <c r="F23" s="63"/>
      <c r="G23" s="63"/>
      <c r="H23" s="63"/>
      <c r="M23" s="1"/>
      <c r="N23" s="2"/>
      <c r="P23" s="78"/>
      <c r="Q23" s="79"/>
      <c r="R23" s="80" t="s">
        <v>3</v>
      </c>
      <c r="S23" s="81">
        <f>SUM(S12:S22)</f>
        <v>135612</v>
      </c>
    </row>
    <row r="24" spans="1:19" ht="15" thickBot="1" x14ac:dyDescent="0.35">
      <c r="A24" s="30" t="s">
        <v>67</v>
      </c>
      <c r="B24" s="29" t="s">
        <v>42</v>
      </c>
      <c r="C24" s="29" t="s">
        <v>15</v>
      </c>
      <c r="D24" s="27" t="s">
        <v>3</v>
      </c>
      <c r="F24" s="63"/>
      <c r="G24" s="63"/>
      <c r="H24" s="63"/>
      <c r="M24" s="35"/>
      <c r="N24" s="36"/>
      <c r="P24" s="65"/>
      <c r="Q24" s="66"/>
    </row>
    <row r="25" spans="1:19" ht="15" thickBot="1" x14ac:dyDescent="0.35">
      <c r="A25" s="30"/>
      <c r="B25" s="29">
        <v>90</v>
      </c>
      <c r="C25" s="29">
        <v>15</v>
      </c>
      <c r="D25" s="27">
        <f>B25*C25</f>
        <v>1350</v>
      </c>
      <c r="F25" s="64"/>
      <c r="G25" s="64"/>
      <c r="H25" s="64"/>
      <c r="M25" s="37" t="s">
        <v>3</v>
      </c>
      <c r="N25" s="26">
        <f>SUM(N21:N24)</f>
        <v>33000</v>
      </c>
      <c r="P25" s="65"/>
      <c r="Q25" s="15"/>
      <c r="R25" s="82" t="s">
        <v>63</v>
      </c>
      <c r="S25" s="92">
        <f>S23/R8</f>
        <v>0.71752380952380956</v>
      </c>
    </row>
    <row r="26" spans="1:19" ht="15" thickBot="1" x14ac:dyDescent="0.35">
      <c r="B26" s="29"/>
      <c r="C26" s="29"/>
      <c r="D26" s="27"/>
      <c r="F26" s="63"/>
      <c r="G26" s="63"/>
      <c r="H26" s="63"/>
      <c r="R26" s="82" t="s">
        <v>64</v>
      </c>
      <c r="S26" s="83">
        <f>(S23-S16)/R8</f>
        <v>0.48471957671957672</v>
      </c>
    </row>
    <row r="27" spans="1:19" ht="15" thickBot="1" x14ac:dyDescent="0.35">
      <c r="A27" s="30" t="s">
        <v>66</v>
      </c>
      <c r="B27" s="29" t="s">
        <v>42</v>
      </c>
      <c r="C27" s="29" t="s">
        <v>15</v>
      </c>
      <c r="D27" s="27" t="s">
        <v>3</v>
      </c>
      <c r="F27" s="63"/>
      <c r="G27" s="63"/>
      <c r="H27" s="63"/>
      <c r="M27" s="4" t="s">
        <v>77</v>
      </c>
      <c r="N27" s="38">
        <f>30*9.5*17</f>
        <v>4845</v>
      </c>
    </row>
    <row r="28" spans="1:19" ht="15" thickBot="1" x14ac:dyDescent="0.35">
      <c r="A28" s="30"/>
      <c r="B28" s="29">
        <v>60</v>
      </c>
      <c r="C28" s="29">
        <v>15</v>
      </c>
      <c r="D28" s="27">
        <f>B28*C28</f>
        <v>900</v>
      </c>
      <c r="F28" s="64"/>
      <c r="G28" s="64"/>
      <c r="H28" s="64"/>
    </row>
    <row r="29" spans="1:19" x14ac:dyDescent="0.3">
      <c r="A29" s="30"/>
      <c r="B29" s="29"/>
      <c r="C29" s="29"/>
      <c r="D29" s="27"/>
      <c r="F29" s="63"/>
      <c r="G29" s="63"/>
      <c r="H29" s="63"/>
      <c r="M29" s="117" t="s">
        <v>19</v>
      </c>
      <c r="N29" s="118"/>
      <c r="O29" s="118"/>
      <c r="P29" s="119"/>
    </row>
    <row r="30" spans="1:19" ht="42" customHeight="1" x14ac:dyDescent="0.3">
      <c r="A30" s="30" t="s">
        <v>40</v>
      </c>
      <c r="B30" s="29" t="s">
        <v>42</v>
      </c>
      <c r="C30" s="29" t="s">
        <v>15</v>
      </c>
      <c r="D30" s="27" t="s">
        <v>3</v>
      </c>
      <c r="F30" s="63"/>
      <c r="G30" s="63"/>
      <c r="H30" s="63"/>
      <c r="M30" s="24" t="s">
        <v>72</v>
      </c>
      <c r="N30" s="10">
        <v>1</v>
      </c>
      <c r="O30" s="91">
        <v>40000</v>
      </c>
      <c r="P30" s="12">
        <f>N30*O30</f>
        <v>40000</v>
      </c>
    </row>
    <row r="31" spans="1:19" ht="15" thickBot="1" x14ac:dyDescent="0.35">
      <c r="A31" s="30"/>
      <c r="B31" s="29">
        <v>50</v>
      </c>
      <c r="C31" s="29">
        <v>15</v>
      </c>
      <c r="D31" s="27">
        <f>B31*C31</f>
        <v>750</v>
      </c>
      <c r="F31" s="64"/>
      <c r="G31" s="64"/>
      <c r="H31" s="64"/>
      <c r="M31" s="1" t="s">
        <v>29</v>
      </c>
      <c r="N31" s="10">
        <v>1</v>
      </c>
      <c r="O31" s="11">
        <v>5000</v>
      </c>
      <c r="P31" s="12">
        <f>N31*O31</f>
        <v>5000</v>
      </c>
    </row>
    <row r="32" spans="1:19" ht="18.600000000000001" customHeight="1" thickBot="1" x14ac:dyDescent="0.4">
      <c r="A32" s="30"/>
      <c r="B32" s="29"/>
      <c r="C32" s="29"/>
      <c r="D32" s="27"/>
      <c r="E32" s="46"/>
      <c r="F32" s="63"/>
      <c r="G32" s="63"/>
      <c r="H32" s="63"/>
      <c r="I32" s="51"/>
      <c r="J32" s="48"/>
      <c r="K32" s="48"/>
      <c r="M32" s="33" t="s">
        <v>3</v>
      </c>
      <c r="N32" s="40"/>
      <c r="O32" s="40"/>
      <c r="P32" s="41">
        <f>SUM(P30:P31)</f>
        <v>45000</v>
      </c>
    </row>
    <row r="33" spans="1:19" ht="15" thickBot="1" x14ac:dyDescent="0.35">
      <c r="A33" s="30" t="s">
        <v>41</v>
      </c>
      <c r="B33" s="29" t="s">
        <v>42</v>
      </c>
      <c r="C33" s="29" t="s">
        <v>15</v>
      </c>
      <c r="D33" s="27" t="s">
        <v>3</v>
      </c>
      <c r="E33" s="14"/>
      <c r="F33" s="63"/>
      <c r="G33" s="63"/>
      <c r="H33" s="63"/>
      <c r="I33" s="14"/>
      <c r="J33" s="14"/>
      <c r="K33" s="14"/>
      <c r="N33" s="23"/>
    </row>
    <row r="34" spans="1:19" ht="18.600000000000001" thickBot="1" x14ac:dyDescent="0.4">
      <c r="A34" s="31"/>
      <c r="B34" s="32">
        <v>40</v>
      </c>
      <c r="C34" s="32">
        <v>15</v>
      </c>
      <c r="D34" s="28">
        <f>B34*C34</f>
        <v>600</v>
      </c>
      <c r="E34" s="14"/>
      <c r="F34" s="64"/>
      <c r="G34" s="64"/>
      <c r="H34" s="64"/>
      <c r="I34" s="14"/>
      <c r="J34" s="14"/>
      <c r="K34" s="14"/>
      <c r="M34" s="96" t="s">
        <v>44</v>
      </c>
      <c r="N34" s="97"/>
      <c r="O34" s="97"/>
      <c r="P34" s="97"/>
      <c r="Q34" s="98"/>
    </row>
    <row r="35" spans="1:19" ht="15" thickBot="1" x14ac:dyDescent="0.35">
      <c r="E35" s="14"/>
      <c r="I35" s="47"/>
      <c r="J35" s="14"/>
      <c r="K35" s="14"/>
      <c r="M35" s="5" t="s">
        <v>16</v>
      </c>
      <c r="N35" s="50">
        <f>N9+N17+N25+N27+P32</f>
        <v>114345</v>
      </c>
      <c r="O35" s="89"/>
      <c r="P35" s="39"/>
      <c r="Q35" s="42"/>
    </row>
    <row r="36" spans="1:19" s="53" customFormat="1" ht="15" thickBot="1" x14ac:dyDescent="0.35">
      <c r="E36" s="52"/>
      <c r="I36" s="47"/>
      <c r="J36" s="52"/>
      <c r="K36" s="52"/>
      <c r="M36" s="4"/>
      <c r="N36" s="88"/>
      <c r="O36" s="90"/>
      <c r="P36" s="26"/>
      <c r="Q36" s="42"/>
    </row>
    <row r="37" spans="1:19" s="53" customFormat="1" ht="15" thickBot="1" x14ac:dyDescent="0.35">
      <c r="E37" s="52"/>
      <c r="I37" s="47"/>
      <c r="J37" s="52"/>
      <c r="K37" s="52"/>
      <c r="M37" s="3"/>
      <c r="N37" s="39"/>
      <c r="O37" s="11"/>
      <c r="P37" s="39"/>
      <c r="Q37" s="42"/>
    </row>
    <row r="38" spans="1:19" ht="15" thickBot="1" x14ac:dyDescent="0.35">
      <c r="E38" s="14"/>
      <c r="I38" s="14"/>
      <c r="J38" s="14"/>
      <c r="K38" s="14"/>
      <c r="M38" s="43" t="s">
        <v>47</v>
      </c>
      <c r="N38" s="44">
        <f>(N35*1)/12</f>
        <v>9528.75</v>
      </c>
      <c r="P38" s="43" t="s">
        <v>49</v>
      </c>
      <c r="Q38" s="44">
        <f>N43/B16</f>
        <v>11496.912191470588</v>
      </c>
    </row>
    <row r="39" spans="1:19" ht="18.600000000000001" thickBot="1" x14ac:dyDescent="0.4">
      <c r="A39" s="55" t="s">
        <v>78</v>
      </c>
      <c r="B39" s="56"/>
      <c r="C39" s="56"/>
      <c r="D39" s="57"/>
      <c r="I39" s="14"/>
      <c r="J39" s="14"/>
      <c r="K39" s="14"/>
      <c r="M39" s="35"/>
      <c r="N39" s="36"/>
      <c r="P39" s="35"/>
      <c r="Q39" s="36"/>
    </row>
    <row r="40" spans="1:19" x14ac:dyDescent="0.3">
      <c r="A40" s="45"/>
      <c r="B40" s="52" t="s">
        <v>34</v>
      </c>
      <c r="C40" s="10" t="s">
        <v>35</v>
      </c>
      <c r="D40" s="62" t="s">
        <v>36</v>
      </c>
      <c r="I40" s="47"/>
      <c r="J40" s="14"/>
      <c r="K40" s="14"/>
      <c r="M40" s="1" t="s">
        <v>17</v>
      </c>
      <c r="N40" s="12">
        <f>N35+N38</f>
        <v>123873.75</v>
      </c>
      <c r="P40" s="1"/>
      <c r="Q40" s="12"/>
    </row>
    <row r="41" spans="1:19" ht="15" thickBot="1" x14ac:dyDescent="0.35">
      <c r="A41" s="1" t="s">
        <v>30</v>
      </c>
      <c r="B41" s="10">
        <v>1350</v>
      </c>
      <c r="C41" s="15">
        <v>80</v>
      </c>
      <c r="D41" s="2">
        <f>B41*C41</f>
        <v>108000</v>
      </c>
      <c r="F41" t="s">
        <v>68</v>
      </c>
      <c r="I41" s="14"/>
      <c r="J41" s="14"/>
      <c r="K41" s="14"/>
      <c r="M41" s="1" t="s">
        <v>81</v>
      </c>
      <c r="N41" s="12">
        <f>N40*1.2</f>
        <v>148648.5</v>
      </c>
      <c r="P41" s="1"/>
      <c r="Q41" s="12"/>
    </row>
    <row r="42" spans="1:19" ht="15" thickBot="1" x14ac:dyDescent="0.35">
      <c r="A42" s="1" t="s">
        <v>31</v>
      </c>
      <c r="B42" s="10">
        <v>75</v>
      </c>
      <c r="C42" s="15">
        <f>2*C41</f>
        <v>160</v>
      </c>
      <c r="D42" s="2">
        <f>B42*C42</f>
        <v>12000</v>
      </c>
      <c r="I42" s="14"/>
      <c r="J42" s="14"/>
      <c r="K42" s="14"/>
      <c r="M42" s="125" t="s">
        <v>48</v>
      </c>
      <c r="N42" s="12">
        <f>N41*1.1</f>
        <v>163513.35</v>
      </c>
      <c r="P42" s="1"/>
      <c r="Q42" s="12"/>
    </row>
    <row r="43" spans="1:19" ht="15" thickBot="1" x14ac:dyDescent="0.35">
      <c r="A43" s="1" t="s">
        <v>32</v>
      </c>
      <c r="B43" s="10">
        <v>112</v>
      </c>
      <c r="C43" s="15">
        <f>C42</f>
        <v>160</v>
      </c>
      <c r="D43" s="2">
        <f>B43*C43</f>
        <v>17920</v>
      </c>
      <c r="I43" s="47"/>
      <c r="J43" s="14"/>
      <c r="K43" s="14"/>
      <c r="M43" s="124" t="s">
        <v>18</v>
      </c>
      <c r="N43" s="42">
        <f>N42*1.1953</f>
        <v>195447.507255</v>
      </c>
      <c r="P43" s="33"/>
      <c r="Q43" s="42"/>
    </row>
    <row r="44" spans="1:19" x14ac:dyDescent="0.3">
      <c r="A44" s="1" t="s">
        <v>33</v>
      </c>
      <c r="B44" s="65">
        <v>75</v>
      </c>
      <c r="C44" s="15">
        <f>C42*3</f>
        <v>480</v>
      </c>
      <c r="D44" s="2">
        <f>B44*C44</f>
        <v>36000</v>
      </c>
      <c r="E44" s="14"/>
      <c r="I44" s="14"/>
      <c r="J44" s="14"/>
      <c r="K44" s="14"/>
    </row>
    <row r="45" spans="1:19" ht="15" thickBot="1" x14ac:dyDescent="0.35">
      <c r="A45" s="1"/>
      <c r="B45" s="10"/>
      <c r="C45" s="15"/>
      <c r="D45" s="2"/>
      <c r="E45" s="14"/>
      <c r="I45" s="14"/>
      <c r="J45" s="14"/>
      <c r="K45" s="14"/>
    </row>
    <row r="46" spans="1:19" ht="18.600000000000001" thickBot="1" x14ac:dyDescent="0.4">
      <c r="A46" s="1"/>
      <c r="B46" s="10" t="s">
        <v>36</v>
      </c>
      <c r="C46" s="10"/>
      <c r="D46" s="2">
        <f>SUM(D41:D45)</f>
        <v>173920</v>
      </c>
      <c r="E46" s="14"/>
      <c r="I46" s="47"/>
      <c r="M46" s="96" t="s">
        <v>45</v>
      </c>
      <c r="N46" s="97"/>
      <c r="O46" s="97"/>
      <c r="P46" s="97"/>
      <c r="Q46" s="98"/>
    </row>
    <row r="47" spans="1:19" x14ac:dyDescent="0.3">
      <c r="A47" s="1"/>
      <c r="B47" s="10"/>
      <c r="C47" s="10"/>
      <c r="D47" s="7"/>
      <c r="M47" s="1"/>
      <c r="N47" s="14" t="s">
        <v>9</v>
      </c>
      <c r="O47" s="14" t="s">
        <v>10</v>
      </c>
      <c r="P47" s="14" t="s">
        <v>3</v>
      </c>
      <c r="Q47" s="17" t="s">
        <v>7</v>
      </c>
    </row>
    <row r="48" spans="1:19" ht="18" x14ac:dyDescent="0.35">
      <c r="A48" s="1" t="s">
        <v>37</v>
      </c>
      <c r="B48" s="10">
        <v>1</v>
      </c>
      <c r="C48" s="59">
        <v>30000</v>
      </c>
      <c r="D48" s="12">
        <v>30000</v>
      </c>
      <c r="M48" s="1" t="s">
        <v>43</v>
      </c>
      <c r="N48" s="10">
        <v>2</v>
      </c>
      <c r="O48" s="15">
        <f>(N43/B16)</f>
        <v>11496.912191470588</v>
      </c>
      <c r="P48" s="15">
        <f>N48*O48</f>
        <v>22993.824382941177</v>
      </c>
      <c r="Q48" s="19">
        <v>30000</v>
      </c>
      <c r="R48" s="58"/>
      <c r="S48" s="58"/>
    </row>
    <row r="49" spans="1:19" ht="15" thickBot="1" x14ac:dyDescent="0.35">
      <c r="A49" s="3" t="s">
        <v>38</v>
      </c>
      <c r="B49" s="13">
        <v>2</v>
      </c>
      <c r="C49" s="60">
        <v>6000</v>
      </c>
      <c r="D49" s="61">
        <f>B49*C49</f>
        <v>12000</v>
      </c>
      <c r="M49" s="1" t="s">
        <v>8</v>
      </c>
      <c r="N49" s="10">
        <v>2</v>
      </c>
      <c r="O49" s="15">
        <v>6000</v>
      </c>
      <c r="P49" s="15">
        <f>N49*O49</f>
        <v>12000</v>
      </c>
      <c r="Q49" s="20">
        <v>12000</v>
      </c>
      <c r="R49" s="53"/>
      <c r="S49" s="53"/>
    </row>
    <row r="50" spans="1:19" ht="15" thickBot="1" x14ac:dyDescent="0.35">
      <c r="M50" s="3"/>
      <c r="N50" s="13"/>
      <c r="O50" s="18"/>
      <c r="P50" s="18"/>
      <c r="Q50" s="21"/>
      <c r="R50" s="39"/>
      <c r="S50" s="39"/>
    </row>
    <row r="51" spans="1:19" ht="18.600000000000001" thickBot="1" x14ac:dyDescent="0.4">
      <c r="A51" s="55" t="s">
        <v>79</v>
      </c>
      <c r="B51" s="56"/>
      <c r="C51" s="56"/>
      <c r="D51" s="57"/>
      <c r="P51" s="53"/>
      <c r="Q51" s="53"/>
      <c r="R51" s="39"/>
      <c r="S51" s="39"/>
    </row>
    <row r="52" spans="1:19" x14ac:dyDescent="0.3">
      <c r="A52" s="45"/>
      <c r="B52" s="52" t="s">
        <v>34</v>
      </c>
      <c r="C52" s="10" t="s">
        <v>35</v>
      </c>
      <c r="D52" s="62" t="s">
        <v>36</v>
      </c>
      <c r="P52" s="53"/>
      <c r="Q52" s="53"/>
      <c r="R52" s="39"/>
      <c r="S52" s="39"/>
    </row>
    <row r="53" spans="1:19" x14ac:dyDescent="0.3">
      <c r="A53" s="1" t="s">
        <v>30</v>
      </c>
      <c r="B53" s="10">
        <v>900</v>
      </c>
      <c r="C53" s="15">
        <v>95</v>
      </c>
      <c r="D53" s="2">
        <f>B53*C53</f>
        <v>85500</v>
      </c>
      <c r="P53" s="53"/>
      <c r="Q53" s="53"/>
      <c r="R53" s="39"/>
      <c r="S53" s="39"/>
    </row>
    <row r="54" spans="1:19" x14ac:dyDescent="0.3">
      <c r="A54" s="1" t="s">
        <v>31</v>
      </c>
      <c r="B54" s="10">
        <v>56</v>
      </c>
      <c r="C54" s="15">
        <f>3*C53</f>
        <v>285</v>
      </c>
      <c r="D54" s="2">
        <f>B54*C54</f>
        <v>15960</v>
      </c>
      <c r="P54" s="53"/>
      <c r="Q54" s="53"/>
      <c r="R54" s="39"/>
      <c r="S54" s="39"/>
    </row>
    <row r="55" spans="1:19" x14ac:dyDescent="0.3">
      <c r="A55" s="1" t="s">
        <v>32</v>
      </c>
      <c r="B55" s="10">
        <v>42</v>
      </c>
      <c r="C55" s="15">
        <f>C54</f>
        <v>285</v>
      </c>
      <c r="D55" s="2">
        <f>B55*C55</f>
        <v>11970</v>
      </c>
      <c r="P55" s="53"/>
      <c r="Q55" s="53"/>
      <c r="R55" s="53"/>
      <c r="S55" s="39"/>
    </row>
    <row r="56" spans="1:19" x14ac:dyDescent="0.3">
      <c r="A56" s="1" t="s">
        <v>33</v>
      </c>
      <c r="B56" s="10">
        <v>56</v>
      </c>
      <c r="C56" s="15">
        <f>C54*3</f>
        <v>855</v>
      </c>
      <c r="D56" s="2">
        <f>B56*C56</f>
        <v>47880</v>
      </c>
      <c r="P56" s="53"/>
      <c r="Q56" s="53"/>
      <c r="R56" s="53"/>
      <c r="S56" s="53"/>
    </row>
    <row r="57" spans="1:19" x14ac:dyDescent="0.3">
      <c r="A57" s="1"/>
      <c r="B57" s="10"/>
      <c r="C57" s="15"/>
      <c r="D57" s="2"/>
      <c r="P57" s="53"/>
      <c r="Q57" s="53"/>
      <c r="R57" s="54"/>
      <c r="S57" s="23"/>
    </row>
    <row r="58" spans="1:19" x14ac:dyDescent="0.3">
      <c r="A58" s="1"/>
      <c r="B58" s="10" t="s">
        <v>36</v>
      </c>
      <c r="C58" s="10"/>
      <c r="D58" s="2">
        <f>SUM(D53:D57)</f>
        <v>161310</v>
      </c>
      <c r="P58" s="53"/>
      <c r="Q58" s="53"/>
      <c r="R58" s="54"/>
      <c r="S58" s="53"/>
    </row>
    <row r="59" spans="1:19" x14ac:dyDescent="0.3">
      <c r="A59" s="1"/>
      <c r="B59" s="10"/>
      <c r="C59" s="10"/>
      <c r="D59" s="7"/>
    </row>
    <row r="60" spans="1:19" x14ac:dyDescent="0.3">
      <c r="A60" s="1" t="s">
        <v>37</v>
      </c>
      <c r="B60" s="10">
        <v>1</v>
      </c>
      <c r="C60" s="59">
        <v>30000</v>
      </c>
      <c r="D60" s="12">
        <v>30000</v>
      </c>
    </row>
    <row r="61" spans="1:19" ht="15" thickBot="1" x14ac:dyDescent="0.35">
      <c r="A61" s="3" t="s">
        <v>38</v>
      </c>
      <c r="B61" s="13">
        <v>2</v>
      </c>
      <c r="C61" s="60">
        <v>6000</v>
      </c>
      <c r="D61" s="61">
        <f>B61*C61</f>
        <v>12000</v>
      </c>
    </row>
    <row r="62" spans="1:19" ht="15" thickBot="1" x14ac:dyDescent="0.35"/>
    <row r="63" spans="1:19" ht="18.600000000000001" thickBot="1" x14ac:dyDescent="0.4">
      <c r="A63" s="55" t="s">
        <v>69</v>
      </c>
      <c r="B63" s="56"/>
      <c r="C63" s="56"/>
      <c r="D63" s="57"/>
    </row>
    <row r="64" spans="1:19" x14ac:dyDescent="0.3">
      <c r="A64" s="45"/>
      <c r="B64" s="52" t="s">
        <v>34</v>
      </c>
      <c r="C64" s="10" t="s">
        <v>35</v>
      </c>
      <c r="D64" s="62" t="s">
        <v>36</v>
      </c>
    </row>
    <row r="65" spans="1:4" x14ac:dyDescent="0.3">
      <c r="A65" s="1" t="s">
        <v>30</v>
      </c>
      <c r="B65" s="10"/>
      <c r="C65" s="15"/>
      <c r="D65" s="2">
        <f>B65*C65</f>
        <v>0</v>
      </c>
    </row>
    <row r="66" spans="1:4" x14ac:dyDescent="0.3">
      <c r="A66" s="1" t="s">
        <v>31</v>
      </c>
      <c r="B66" s="10"/>
      <c r="C66" s="15"/>
      <c r="D66" s="2">
        <f>B66*C66</f>
        <v>0</v>
      </c>
    </row>
    <row r="67" spans="1:4" x14ac:dyDescent="0.3">
      <c r="A67" s="1" t="s">
        <v>32</v>
      </c>
      <c r="B67" s="10"/>
      <c r="C67" s="15"/>
      <c r="D67" s="2">
        <f>B67*C67</f>
        <v>0</v>
      </c>
    </row>
    <row r="68" spans="1:4" x14ac:dyDescent="0.3">
      <c r="A68" s="1" t="s">
        <v>33</v>
      </c>
      <c r="B68" s="10"/>
      <c r="C68" s="15"/>
      <c r="D68" s="2">
        <f>B68*C68</f>
        <v>0</v>
      </c>
    </row>
    <row r="69" spans="1:4" x14ac:dyDescent="0.3">
      <c r="A69" s="1"/>
      <c r="B69" s="10"/>
      <c r="C69" s="15"/>
      <c r="D69" s="2">
        <f>B69*C69</f>
        <v>0</v>
      </c>
    </row>
    <row r="70" spans="1:4" x14ac:dyDescent="0.3">
      <c r="A70" s="1"/>
      <c r="B70" s="10" t="s">
        <v>36</v>
      </c>
      <c r="C70" s="10"/>
      <c r="D70" s="2">
        <f>SUM(D65:D69)</f>
        <v>0</v>
      </c>
    </row>
    <row r="71" spans="1:4" x14ac:dyDescent="0.3">
      <c r="A71" s="1"/>
      <c r="B71" s="10"/>
      <c r="C71" s="10"/>
      <c r="D71" s="7"/>
    </row>
    <row r="72" spans="1:4" x14ac:dyDescent="0.3">
      <c r="A72" s="1" t="s">
        <v>37</v>
      </c>
      <c r="B72" s="10">
        <v>1</v>
      </c>
      <c r="C72" s="59">
        <v>25000</v>
      </c>
      <c r="D72" s="12">
        <v>25000</v>
      </c>
    </row>
    <row r="73" spans="1:4" ht="15" thickBot="1" x14ac:dyDescent="0.35">
      <c r="A73" s="3" t="s">
        <v>38</v>
      </c>
      <c r="B73" s="13">
        <v>2</v>
      </c>
      <c r="C73" s="60">
        <v>5000</v>
      </c>
      <c r="D73" s="61">
        <f>B73*C73</f>
        <v>10000</v>
      </c>
    </row>
    <row r="74" spans="1:4" ht="15" thickBot="1" x14ac:dyDescent="0.35"/>
    <row r="75" spans="1:4" ht="18.600000000000001" thickBot="1" x14ac:dyDescent="0.4">
      <c r="A75" s="55" t="s">
        <v>70</v>
      </c>
      <c r="B75" s="56"/>
      <c r="C75" s="56"/>
      <c r="D75" s="57"/>
    </row>
    <row r="76" spans="1:4" x14ac:dyDescent="0.3">
      <c r="A76" s="45"/>
      <c r="B76" s="52" t="s">
        <v>34</v>
      </c>
      <c r="C76" s="10" t="s">
        <v>35</v>
      </c>
      <c r="D76" s="62" t="s">
        <v>36</v>
      </c>
    </row>
    <row r="77" spans="1:4" x14ac:dyDescent="0.3">
      <c r="A77" s="1" t="s">
        <v>30</v>
      </c>
      <c r="B77" s="10"/>
      <c r="C77" s="15"/>
      <c r="D77" s="2"/>
    </row>
    <row r="78" spans="1:4" x14ac:dyDescent="0.3">
      <c r="A78" s="1" t="s">
        <v>31</v>
      </c>
      <c r="B78" s="10"/>
      <c r="C78" s="15"/>
      <c r="D78" s="2"/>
    </row>
    <row r="79" spans="1:4" x14ac:dyDescent="0.3">
      <c r="A79" s="1" t="s">
        <v>32</v>
      </c>
      <c r="B79" s="10"/>
      <c r="C79" s="15"/>
      <c r="D79" s="2"/>
    </row>
    <row r="80" spans="1:4" x14ac:dyDescent="0.3">
      <c r="A80" s="1" t="s">
        <v>33</v>
      </c>
      <c r="B80" s="10"/>
      <c r="C80" s="15"/>
      <c r="D80" s="2"/>
    </row>
    <row r="81" spans="1:4" x14ac:dyDescent="0.3">
      <c r="A81" s="1"/>
      <c r="B81" s="10"/>
      <c r="C81" s="15"/>
      <c r="D81" s="2"/>
    </row>
    <row r="82" spans="1:4" x14ac:dyDescent="0.3">
      <c r="A82" s="1"/>
      <c r="B82" s="10" t="s">
        <v>36</v>
      </c>
      <c r="C82" s="10"/>
      <c r="D82" s="2">
        <f>SUM(D77:D81)</f>
        <v>0</v>
      </c>
    </row>
    <row r="83" spans="1:4" x14ac:dyDescent="0.3">
      <c r="A83" s="1"/>
      <c r="B83" s="10"/>
      <c r="C83" s="10"/>
      <c r="D83" s="7"/>
    </row>
    <row r="84" spans="1:4" x14ac:dyDescent="0.3">
      <c r="A84" s="1" t="s">
        <v>37</v>
      </c>
      <c r="B84" s="10">
        <v>1</v>
      </c>
      <c r="C84" s="59">
        <v>25000</v>
      </c>
      <c r="D84" s="12">
        <v>25000</v>
      </c>
    </row>
    <row r="85" spans="1:4" ht="15" thickBot="1" x14ac:dyDescent="0.35">
      <c r="A85" s="3" t="s">
        <v>38</v>
      </c>
      <c r="B85" s="13">
        <v>2</v>
      </c>
      <c r="C85" s="60">
        <v>5000</v>
      </c>
      <c r="D85" s="61">
        <f>B85*C85</f>
        <v>10000</v>
      </c>
    </row>
  </sheetData>
  <mergeCells count="15">
    <mergeCell ref="P10:S10"/>
    <mergeCell ref="M46:Q46"/>
    <mergeCell ref="A1:Q1"/>
    <mergeCell ref="A3:N3"/>
    <mergeCell ref="A4:N4"/>
    <mergeCell ref="A5:N5"/>
    <mergeCell ref="M34:Q34"/>
    <mergeCell ref="A7:B7"/>
    <mergeCell ref="A9:B9"/>
    <mergeCell ref="M7:N7"/>
    <mergeCell ref="M11:N11"/>
    <mergeCell ref="M19:N19"/>
    <mergeCell ref="M29:P29"/>
    <mergeCell ref="A22:D22"/>
    <mergeCell ref="F22:H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</dc:creator>
  <cp:lastModifiedBy>Guilherme</cp:lastModifiedBy>
  <dcterms:created xsi:type="dcterms:W3CDTF">2022-07-08T18:22:15Z</dcterms:created>
  <dcterms:modified xsi:type="dcterms:W3CDTF">2025-03-14T14:48:33Z</dcterms:modified>
</cp:coreProperties>
</file>